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E100E40E-2406-41CD-8A5D-A844520393F3}" xr6:coauthVersionLast="47" xr6:coauthVersionMax="47" xr10:uidLastSave="{00000000-0000-0000-0000-000000000000}"/>
  <bookViews>
    <workbookView xWindow="-120" yWindow="-120" windowWidth="29040" windowHeight="15840" xr2:uid="{00000000-000D-0000-FFFF-FFFF00000000}"/>
  </bookViews>
  <sheets>
    <sheet name="PEB 250 Inceases" sheetId="1" r:id="rId1"/>
    <sheet name="Sheet1" sheetId="2" state="hidden" r:id="rId2"/>
  </sheets>
  <definedNames>
    <definedName name="ColumnTitleRegion1..F3.1">'PEB 250 Inceases'!$F$2</definedName>
    <definedName name="_xlnm.Print_Titles" localSheetId="0">'PEB 250 Inceases'!$10:$11</definedName>
    <definedName name="RowTitleRegion1..C8">'PEB 250 Inceases'!$B$2</definedName>
    <definedName name="Title1">Data[[#Headers],[Proposed Rate Increase ]]</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1" l="1"/>
  <c r="Q14" i="1"/>
  <c r="S14" i="1" s="1"/>
  <c r="Q15" i="1"/>
  <c r="Q16" i="1"/>
  <c r="Q17" i="1"/>
  <c r="S17" i="1" s="1"/>
  <c r="Q18" i="1"/>
  <c r="S18" i="1" s="1"/>
  <c r="Q12" i="1"/>
  <c r="R13" i="1"/>
  <c r="R14" i="1"/>
  <c r="R15" i="1"/>
  <c r="R16" i="1"/>
  <c r="R17" i="1"/>
  <c r="R18" i="1"/>
  <c r="R12" i="1"/>
  <c r="B19" i="2"/>
  <c r="C19" i="2"/>
  <c r="D19" i="2"/>
  <c r="E19" i="2"/>
  <c r="D13" i="2"/>
  <c r="F13" i="2" s="1"/>
  <c r="G13" i="2" s="1"/>
  <c r="C13" i="2"/>
  <c r="E13" i="2" s="1"/>
  <c r="B13" i="2"/>
  <c r="B6" i="2"/>
  <c r="D6" i="2" s="1"/>
  <c r="F6" i="2" s="1"/>
  <c r="G6" i="2" s="1"/>
  <c r="S12" i="1"/>
  <c r="S15" i="1"/>
  <c r="S16" i="1"/>
  <c r="J12" i="1"/>
  <c r="J13" i="1"/>
  <c r="J14" i="1"/>
  <c r="J15" i="1"/>
  <c r="J16" i="1"/>
  <c r="P12" i="1"/>
  <c r="P13" i="1"/>
  <c r="P14" i="1"/>
  <c r="P15" i="1"/>
  <c r="P16" i="1"/>
  <c r="P17" i="1"/>
  <c r="P18" i="1"/>
  <c r="O12" i="1"/>
  <c r="O13" i="1"/>
  <c r="O14" i="1"/>
  <c r="O15" i="1"/>
  <c r="O16" i="1"/>
  <c r="O17" i="1"/>
  <c r="O18" i="1"/>
  <c r="S13" i="1" l="1"/>
  <c r="C6" i="2"/>
  <c r="E6" i="2" s="1"/>
</calcChain>
</file>

<file path=xl/sharedStrings.xml><?xml version="1.0" encoding="utf-8"?>
<sst xmlns="http://schemas.openxmlformats.org/spreadsheetml/2006/main" count="55" uniqueCount="39">
  <si>
    <t>Report Date:</t>
  </si>
  <si>
    <t>Dept:</t>
  </si>
  <si>
    <t>End Date:</t>
  </si>
  <si>
    <t>Start Date:</t>
  </si>
  <si>
    <t>7/1/2020</t>
  </si>
  <si>
    <t>7/1/2021</t>
  </si>
  <si>
    <t>7/1/2022</t>
  </si>
  <si>
    <t>7/1/2023</t>
  </si>
  <si>
    <t>7/1/2024</t>
  </si>
  <si>
    <t>Current Rate of Pay</t>
  </si>
  <si>
    <t>Pay Rate Increase</t>
  </si>
  <si>
    <t xml:space="preserve">Proposed Rate Increase </t>
  </si>
  <si>
    <t>PEB 250 Proposal</t>
  </si>
  <si>
    <t>Name:</t>
  </si>
  <si>
    <t>IAMAW</t>
  </si>
  <si>
    <t>Tech:</t>
  </si>
  <si>
    <t>Wayne Ringkamp</t>
  </si>
  <si>
    <t>LL 104</t>
  </si>
  <si>
    <t>RR:</t>
  </si>
  <si>
    <t>CSX</t>
  </si>
  <si>
    <t>Health Care plan cost can change by roughly 4% to 8% annually.</t>
  </si>
  <si>
    <t>Percentage of Change</t>
  </si>
  <si>
    <t>Plan Increase</t>
  </si>
  <si>
    <t>Current Premium</t>
  </si>
  <si>
    <t>Estimated Premium</t>
  </si>
  <si>
    <t>Estimated Health Care Cost per Person</t>
  </si>
  <si>
    <t>$ 287.46   is what we were told is the estimated cost per month as of Jan.1, 2022</t>
  </si>
  <si>
    <t>Total Cost</t>
  </si>
  <si>
    <t>Annual Carrier Cost</t>
  </si>
  <si>
    <t>Anuual Union Cost</t>
  </si>
  <si>
    <t>Monthly Carrier Cost</t>
  </si>
  <si>
    <t>Monthly Union Cost</t>
  </si>
  <si>
    <t>Employee Monthly Cost</t>
  </si>
  <si>
    <t>Year</t>
  </si>
  <si>
    <t>I know the below is wrong, I am just checking myself</t>
  </si>
  <si>
    <t xml:space="preserve">Total Annual  Plan Cost </t>
  </si>
  <si>
    <t>Annual Union Cost  15%</t>
  </si>
  <si>
    <t>Annual Carrier Cost 85%</t>
  </si>
  <si>
    <t xml:space="preserve">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</si>
</sst>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_);\(#,##0.0\)"/>
  </numFmts>
  <fonts count="11" x14ac:knownFonts="1">
    <font>
      <sz val="1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6"/>
      <name val="Arial"/>
      <family val="2"/>
      <scheme val="major"/>
    </font>
    <font>
      <b/>
      <sz val="11"/>
      <color theme="1"/>
      <name val="Arial"/>
      <family val="2"/>
      <scheme val="minor"/>
    </font>
    <font>
      <sz val="11"/>
      <name val="Arial"/>
      <family val="2"/>
      <scheme val="minor"/>
    </font>
    <font>
      <b/>
      <sz val="11"/>
      <color theme="1"/>
      <name val="Arial"/>
      <family val="2"/>
      <scheme val="major"/>
    </font>
    <font>
      <b/>
      <sz val="11"/>
      <name val="Arial"/>
      <family val="2"/>
    </font>
    <font>
      <b/>
      <sz val="11"/>
      <name val="Arial"/>
      <family val="2"/>
      <scheme val="major"/>
    </font>
    <font>
      <b/>
      <sz val="11"/>
      <name val="Arial"/>
      <family val="2"/>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style="thin">
        <color indexed="22"/>
      </bottom>
      <diagonal/>
    </border>
    <border>
      <left style="thin">
        <color indexed="22"/>
      </left>
      <right style="thin">
        <color indexed="22"/>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4"/>
      </bottom>
      <diagonal/>
    </border>
    <border>
      <left style="thin">
        <color indexed="22"/>
      </left>
      <right style="thin">
        <color indexed="22"/>
      </right>
      <top/>
      <bottom style="thin">
        <color indexed="22"/>
      </bottom>
      <diagonal/>
    </border>
    <border>
      <left/>
      <right style="thin">
        <color indexed="22"/>
      </right>
      <top/>
      <bottom style="thin">
        <color theme="4"/>
      </bottom>
      <diagonal/>
    </border>
    <border>
      <left style="thin">
        <color indexed="22"/>
      </left>
      <right/>
      <top/>
      <bottom style="thin">
        <color theme="4"/>
      </bottom>
      <diagonal/>
    </border>
    <border>
      <left/>
      <right style="thin">
        <color indexed="22"/>
      </right>
      <top/>
      <bottom/>
      <diagonal/>
    </border>
    <border>
      <left/>
      <right/>
      <top style="thin">
        <color indexed="64"/>
      </top>
      <bottom/>
      <diagonal/>
    </border>
    <border>
      <left/>
      <right style="thin">
        <color indexed="64"/>
      </right>
      <top style="thin">
        <color indexed="64"/>
      </top>
      <bottom/>
      <diagonal/>
    </border>
    <border>
      <left style="thin">
        <color theme="4"/>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164" fontId="6" fillId="0" borderId="0" applyFont="0" applyFill="0" applyBorder="0" applyAlignment="0" applyProtection="0"/>
    <xf numFmtId="37"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14" fontId="2" fillId="0" borderId="0" applyBorder="0">
      <alignment horizontal="left"/>
    </xf>
  </cellStyleXfs>
  <cellXfs count="56">
    <xf numFmtId="0" fontId="0" fillId="0" borderId="0" xfId="0">
      <alignment vertical="center"/>
    </xf>
    <xf numFmtId="0" fontId="7" fillId="0" borderId="0" xfId="0" applyFont="1">
      <alignment vertical="center"/>
    </xf>
    <xf numFmtId="0" fontId="0" fillId="0" borderId="11" xfId="2" applyNumberFormat="1" applyFont="1" applyBorder="1" applyAlignment="1">
      <alignment vertical="center"/>
    </xf>
    <xf numFmtId="44" fontId="0" fillId="0" borderId="11" xfId="2" applyNumberFormat="1" applyFont="1" applyBorder="1" applyAlignment="1">
      <alignment vertical="center"/>
    </xf>
    <xf numFmtId="0" fontId="8" fillId="0" borderId="10" xfId="0" applyFont="1" applyBorder="1" applyAlignment="1">
      <alignment horizontal="center" wrapText="1"/>
    </xf>
    <xf numFmtId="0" fontId="9" fillId="0" borderId="14" xfId="0" applyNumberFormat="1" applyFont="1" applyBorder="1" applyAlignment="1">
      <alignment horizontal="center" vertical="center" textRotation="90" wrapText="1"/>
    </xf>
    <xf numFmtId="44" fontId="0" fillId="0" borderId="4" xfId="0" applyNumberFormat="1" applyBorder="1">
      <alignment vertical="center"/>
    </xf>
    <xf numFmtId="0" fontId="8" fillId="0" borderId="12" xfId="0" applyFont="1" applyBorder="1" applyAlignment="1">
      <alignment horizontal="center" wrapText="1"/>
    </xf>
    <xf numFmtId="44" fontId="10" fillId="0" borderId="11" xfId="2" applyNumberFormat="1" applyFont="1" applyBorder="1" applyAlignment="1">
      <alignment vertical="center"/>
    </xf>
    <xf numFmtId="9" fontId="0" fillId="0" borderId="4" xfId="0" applyNumberFormat="1" applyBorder="1" applyAlignment="1">
      <alignment horizontal="center" vertical="center"/>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44" fontId="0" fillId="0" borderId="5" xfId="2" applyNumberFormat="1" applyFont="1" applyBorder="1" applyAlignment="1">
      <alignment vertical="center"/>
    </xf>
    <xf numFmtId="14" fontId="0" fillId="0" borderId="4" xfId="0" applyNumberFormat="1" applyBorder="1" applyAlignment="1">
      <alignment horizontal="center" vertical="center"/>
    </xf>
    <xf numFmtId="44" fontId="0" fillId="0" borderId="11" xfId="0" applyNumberFormat="1" applyBorder="1">
      <alignment vertical="center"/>
    </xf>
    <xf numFmtId="44" fontId="0" fillId="0" borderId="5" xfId="0" applyNumberFormat="1" applyBorder="1">
      <alignment vertical="center"/>
    </xf>
    <xf numFmtId="44" fontId="6" fillId="0" borderId="11" xfId="2" applyNumberFormat="1" applyFont="1" applyBorder="1" applyAlignment="1">
      <alignment vertical="center"/>
    </xf>
    <xf numFmtId="9" fontId="8" fillId="0" borderId="10"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44" fontId="0" fillId="0" borderId="2" xfId="2" applyNumberFormat="1" applyFont="1" applyBorder="1" applyAlignment="1">
      <alignment vertical="center"/>
    </xf>
    <xf numFmtId="44" fontId="0" fillId="0" borderId="3" xfId="2" applyNumberFormat="1" applyFont="1" applyBorder="1" applyAlignment="1">
      <alignment vertical="center"/>
    </xf>
    <xf numFmtId="14" fontId="9" fillId="0" borderId="10" xfId="0" applyNumberFormat="1" applyFont="1" applyBorder="1" applyAlignment="1">
      <alignment horizontal="center" vertical="center"/>
    </xf>
    <xf numFmtId="0" fontId="9" fillId="0" borderId="0" xfId="0" applyFont="1" applyAlignment="1">
      <alignment horizontal="center" vertical="center" wrapText="1"/>
    </xf>
    <xf numFmtId="14" fontId="9" fillId="0" borderId="10" xfId="0" applyNumberFormat="1" applyFont="1" applyBorder="1" applyAlignment="1">
      <alignment horizontal="center" vertical="center" wrapText="1"/>
    </xf>
    <xf numFmtId="10" fontId="0" fillId="0" borderId="5" xfId="2" applyNumberFormat="1" applyFont="1" applyBorder="1" applyAlignment="1">
      <alignment vertical="center"/>
    </xf>
    <xf numFmtId="14" fontId="9" fillId="0" borderId="13" xfId="0" applyNumberFormat="1" applyFont="1" applyBorder="1" applyAlignment="1">
      <alignment horizontal="center" vertical="center" wrapText="1"/>
    </xf>
    <xf numFmtId="14" fontId="9" fillId="0" borderId="12" xfId="0" applyNumberFormat="1" applyFont="1" applyBorder="1" applyAlignment="1">
      <alignment horizontal="center" vertical="center"/>
    </xf>
    <xf numFmtId="44" fontId="0" fillId="0" borderId="0" xfId="0" applyNumberFormat="1">
      <alignment vertical="center"/>
    </xf>
    <xf numFmtId="14" fontId="9" fillId="0" borderId="14" xfId="0" applyNumberFormat="1" applyFont="1" applyBorder="1" applyAlignment="1">
      <alignment horizontal="center" vertical="center" wrapText="1"/>
    </xf>
    <xf numFmtId="0" fontId="0" fillId="0" borderId="0" xfId="0" applyNumberFormat="1" applyAlignment="1">
      <alignment horizontal="left" vertical="center"/>
    </xf>
    <xf numFmtId="44" fontId="0" fillId="2" borderId="0" xfId="0" applyNumberFormat="1" applyFill="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4" fillId="0" borderId="0" xfId="0" applyFont="1" applyBorder="1" applyAlignment="1">
      <alignment horizontal="left" vertical="center"/>
    </xf>
    <xf numFmtId="49" fontId="5" fillId="0" borderId="21"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16"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20" xfId="0" applyNumberFormat="1" applyFont="1" applyBorder="1" applyAlignment="1">
      <alignment horizontal="left" vertical="top" wrapText="1"/>
    </xf>
    <xf numFmtId="49" fontId="5" fillId="0" borderId="23" xfId="0" applyNumberFormat="1" applyFont="1" applyBorder="1" applyAlignment="1">
      <alignment horizontal="left" vertical="top" wrapText="1"/>
    </xf>
    <xf numFmtId="49" fontId="5" fillId="0" borderId="24" xfId="0" applyNumberFormat="1" applyFont="1" applyBorder="1" applyAlignment="1">
      <alignment horizontal="left" vertical="top" wrapText="1"/>
    </xf>
    <xf numFmtId="49" fontId="5" fillId="0" borderId="25" xfId="0" applyNumberFormat="1" applyFont="1" applyBorder="1" applyAlignment="1">
      <alignment horizontal="left" vertical="top" wrapText="1"/>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 fillId="0" borderId="0" xfId="0" applyFont="1" applyAlignment="1">
      <alignment horizontal="left"/>
    </xf>
    <xf numFmtId="0" fontId="3" fillId="0" borderId="0" xfId="0" applyFont="1" applyAlignment="1">
      <alignment horizontal="left"/>
    </xf>
    <xf numFmtId="0" fontId="3" fillId="0" borderId="6" xfId="0" applyFont="1" applyBorder="1" applyAlignment="1">
      <alignment horizontal="left"/>
    </xf>
    <xf numFmtId="14" fontId="3" fillId="0" borderId="0" xfId="0" applyNumberFormat="1" applyFont="1" applyAlignment="1">
      <alignment horizontal="left"/>
    </xf>
    <xf numFmtId="14" fontId="3" fillId="0" borderId="0" xfId="0" applyNumberFormat="1" applyFont="1" applyBorder="1" applyAlignment="1">
      <alignment horizontal="left"/>
    </xf>
    <xf numFmtId="0" fontId="3" fillId="0" borderId="0" xfId="0" applyFont="1" applyBorder="1" applyAlignment="1">
      <alignment horizontal="left"/>
    </xf>
    <xf numFmtId="14" fontId="2" fillId="0" borderId="0" xfId="6">
      <alignment horizontal="left"/>
    </xf>
    <xf numFmtId="14" fontId="2" fillId="0" borderId="0" xfId="6" applyBorder="1">
      <alignment horizontal="left"/>
    </xf>
    <xf numFmtId="44" fontId="0" fillId="0" borderId="0" xfId="0" applyNumberFormat="1" applyFill="1">
      <alignment vertical="center"/>
    </xf>
  </cellXfs>
  <cellStyles count="7">
    <cellStyle name="Comma" xfId="1" builtinId="3" customBuiltin="1"/>
    <cellStyle name="Comma [0]" xfId="2" builtinId="6" customBuiltin="1"/>
    <cellStyle name="Currency" xfId="3" builtinId="4" customBuiltin="1"/>
    <cellStyle name="Currency [0]" xfId="4" builtinId="7" customBuiltin="1"/>
    <cellStyle name="Date" xfId="6" xr:uid="{00000000-0005-0000-0000-000004000000}"/>
    <cellStyle name="Normal" xfId="0" builtinId="0" customBuiltin="1"/>
    <cellStyle name="Percent" xfId="5" builtinId="5" customBuiltin="1"/>
  </cellStyles>
  <dxfs count="43">
    <dxf>
      <numFmt numFmtId="34" formatCode="_(&quot;$&quot;* #,##0.00_);_(&quot;$&quot;* \(#,##0.00\);_(&quot;$&quot;* &quot;-&quot;??_);_(@_)"/>
      <fill>
        <patternFill patternType="none">
          <fgColor indexed="64"/>
          <bgColor auto="1"/>
        </patternFill>
      </fill>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0" formatCode="General"/>
      <alignment horizontal="left" vertical="center" textRotation="0" wrapText="0" indent="0" justifyLastLine="0" shrinkToFit="0" readingOrder="0"/>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fill>
        <patternFill patternType="solid">
          <fgColor indexed="64"/>
          <bgColor rgb="FFFFFF00"/>
        </patternFill>
      </fill>
    </dxf>
    <dxf>
      <numFmt numFmtId="34" formatCode="_(&quot;$&quot;* #,##0.00_);_(&quot;$&quot;* \(#,##0.00\);_(&quot;$&quot;* &quot;-&quot;??_);_(@_)"/>
    </dxf>
    <dxf>
      <numFmt numFmtId="0" formatCode="General"/>
      <alignment horizontal="left" vertical="center" textRotation="0" wrapText="0" indent="0" justifyLastLine="0" shrinkToFit="0" readingOrder="0"/>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fill>
        <patternFill patternType="solid">
          <fgColor indexed="64"/>
          <bgColor rgb="FFFFFF00"/>
        </patternFill>
      </fill>
    </dxf>
    <dxf>
      <numFmt numFmtId="34" formatCode="_(&quot;$&quot;* #,##0.00_);_(&quot;$&quot;* \(#,##0.00\);_(&quot;$&quot;* &quot;-&quot;??_);_(@_)"/>
    </dxf>
    <dxf>
      <numFmt numFmtId="34" formatCode="_(&quot;$&quot;* #,##0.00_);_(&quot;$&quot;* \(#,##0.00\);_(&quot;$&quot;* &quot;-&quot;??_);_(@_)"/>
    </dxf>
    <dxf>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34" formatCode="_(&quot;$&quot;* #,##0.00_);_(&quot;$&quot;* \(#,##0.00\);_(&quot;$&quot;* &quot;-&quot;??_);_(@_)"/>
      <alignment horizontal="general" vertical="center" textRotation="0" wrapText="0" indent="0" justifyLastLine="0" shrinkToFit="0" readingOrder="0"/>
      <border diagonalUp="0" diagonalDown="0">
        <left style="thin">
          <color indexed="22"/>
        </left>
        <right style="thin">
          <color indexed="22"/>
        </right>
        <top/>
        <bottom style="thin">
          <color indexed="22"/>
        </bottom>
        <vertical/>
        <horizontal/>
      </border>
    </dxf>
    <dxf>
      <numFmt numFmtId="34" formatCode="_(&quot;$&quot;* #,##0.00_);_(&quot;$&quot;* \(#,##0.00\);_(&quot;$&quot;* &quot;-&quot;??_);_(@_)"/>
      <border diagonalUp="0" diagonalDown="0" outline="0">
        <left style="thin">
          <color indexed="22"/>
        </left>
        <right/>
        <top style="thin">
          <color indexed="22"/>
        </top>
        <bottom style="thin">
          <color indexed="22"/>
        </bottom>
      </border>
    </dxf>
    <dxf>
      <numFmt numFmtId="34" formatCode="_(&quot;$&quot;* #,##0.00_);_(&quot;$&quot;* \(#,##0.00\);_(&quot;$&quot;* &quot;-&quot;??_);_(@_)"/>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34" formatCode="_(&quot;$&quot;* #,##0.00_);_(&quot;$&quot;* \(#,##0.00\);_(&quot;$&quot;* &quot;-&quot;??_);_(@_)"/>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14" formatCode="0.00%"/>
      <alignment horizontal="general" vertical="center" textRotation="0" wrapText="0" indent="0" justifyLastLine="0" shrinkToFit="0" readingOrder="0"/>
      <border diagonalUp="0" diagonalDown="0" outline="0">
        <left style="thin">
          <color indexed="22"/>
        </left>
        <right style="thin">
          <color indexed="22"/>
        </right>
        <top/>
        <bottom style="thin">
          <color indexed="22"/>
        </bottom>
      </border>
    </dxf>
    <dxf>
      <numFmt numFmtId="34" formatCode="_(&quot;$&quot;* #,##0.00_);_(&quot;$&quot;* \(#,##0.00\);_(&quot;$&quot;* &quot;-&quot;??_);_(@_)"/>
      <border diagonalUp="0" diagonalDown="0" outline="0">
        <left style="thin">
          <color indexed="22"/>
        </left>
        <right style="thin">
          <color indexed="22"/>
        </right>
        <top/>
        <bottom style="thin">
          <color indexed="22"/>
        </bottom>
      </border>
    </dxf>
    <dxf>
      <numFmt numFmtId="34" formatCode="_(&quot;$&quot;* #,##0.00_);_(&quot;$&quot;* \(#,##0.00\);_(&quot;$&quot;* &quot;-&quot;??_);_(@_)"/>
      <border diagonalUp="0" diagonalDown="0" outline="0">
        <left style="thin">
          <color indexed="22"/>
        </left>
        <right style="thin">
          <color indexed="22"/>
        </right>
        <top/>
        <bottom style="thin">
          <color indexed="22"/>
        </bottom>
      </border>
    </dxf>
    <dxf>
      <numFmt numFmtId="19" formatCode="m/d/yyyy"/>
      <alignment horizontal="center" vertical="center" textRotation="0" wrapText="0" indent="0" justifyLastLine="0" shrinkToFit="0" readingOrder="0"/>
      <border diagonalUp="0" diagonalDown="0" outline="0">
        <left/>
        <right style="thin">
          <color indexed="22"/>
        </right>
        <top style="thin">
          <color indexed="22"/>
        </top>
        <bottom style="thin">
          <color indexed="22"/>
        </bottom>
      </border>
    </dxf>
    <dxf>
      <border diagonalUp="0" diagonalDown="0">
        <left style="thin">
          <color theme="4"/>
        </left>
        <right style="thin">
          <color theme="4"/>
        </right>
        <top/>
        <bottom style="thin">
          <color theme="4"/>
        </bottom>
      </border>
    </dxf>
    <dxf>
      <font>
        <b val="0"/>
        <i val="0"/>
        <strike val="0"/>
        <condense val="0"/>
        <extend val="0"/>
        <outline val="0"/>
        <shadow val="0"/>
        <u val="none"/>
        <vertAlign val="baseline"/>
        <sz val="10"/>
        <color auto="1"/>
        <name val="Arial"/>
        <scheme val="minor"/>
      </font>
      <alignment horizontal="general" vertical="center" textRotation="0" wrapText="0" relativeIndent="0" justifyLastLine="0" shrinkToFit="0" readingOrder="0"/>
    </dxf>
    <dxf>
      <font>
        <b/>
        <i val="0"/>
        <strike val="0"/>
        <condense val="0"/>
        <extend val="0"/>
        <outline val="0"/>
        <shadow val="0"/>
        <u val="none"/>
        <vertAlign val="baseline"/>
        <sz val="11"/>
        <color auto="1"/>
        <name val="Arial"/>
        <scheme val="major"/>
      </font>
      <alignment horizontal="general" vertical="bottom" textRotation="90" wrapText="1" relativeIndent="0" justifyLastLine="0" shrinkToFit="0" readingOrder="0"/>
    </dxf>
    <dxf>
      <font>
        <b val="0"/>
        <i val="0"/>
        <strike val="0"/>
        <condense val="0"/>
        <extend val="0"/>
        <outline val="0"/>
        <shadow val="0"/>
        <u val="none"/>
        <vertAlign val="baseline"/>
        <sz val="11"/>
        <color auto="1"/>
        <name val="Arial"/>
        <family val="2"/>
        <scheme val="minor"/>
      </font>
      <numFmt numFmtId="34" formatCode="_(&quot;$&quot;* #,##0.00_);_(&quot;$&quot;* \(#,##0.00\);_(&quot;$&quot;* &quot;-&quot;??_);_(@_)"/>
      <alignment horizontal="general" vertical="center" textRotation="0" wrapText="0" indent="0" justifyLastLine="0" shrinkToFit="0" readingOrder="0"/>
      <border diagonalUp="0" diagonalDown="0">
        <left style="thin">
          <color indexed="22"/>
        </left>
        <right style="thin">
          <color indexed="22"/>
        </right>
        <top/>
        <bottom style="thin">
          <color indexed="22"/>
        </bottom>
        <vertical/>
        <horizontal/>
      </border>
    </dxf>
    <dxf>
      <numFmt numFmtId="0" formatCode="General"/>
      <border diagonalUp="0" diagonalDown="0" outline="0">
        <left style="thin">
          <color indexed="22"/>
        </left>
        <right/>
        <top style="thin">
          <color indexed="22"/>
        </top>
        <bottom style="thin">
          <color indexed="22"/>
        </bottom>
      </border>
    </dxf>
    <dxf>
      <numFmt numFmtId="0" formatCode="General"/>
      <border diagonalUp="0" diagonalDown="0" outline="0">
        <left style="thin">
          <color indexed="22"/>
        </left>
        <right style="thin">
          <color indexed="22"/>
        </right>
        <top style="thin">
          <color indexed="22"/>
        </top>
        <bottom style="thin">
          <color indexed="22"/>
        </bottom>
      </border>
    </dxf>
    <dxf>
      <numFmt numFmtId="0" formatCode="General"/>
      <border diagonalUp="0" diagonalDown="0" outline="0">
        <left style="thin">
          <color indexed="22"/>
        </left>
        <right style="thin">
          <color indexed="22"/>
        </right>
        <top style="thin">
          <color indexed="22"/>
        </top>
        <bottom style="thin">
          <color indexed="22"/>
        </bottom>
      </border>
    </dxf>
    <dxf>
      <numFmt numFmtId="0" formatCode="General"/>
      <border diagonalUp="0" diagonalDown="0" outline="0">
        <left style="thin">
          <color indexed="22"/>
        </left>
        <right style="thin">
          <color indexed="22"/>
        </right>
        <top style="thin">
          <color indexed="22"/>
        </top>
        <bottom style="thin">
          <color indexed="22"/>
        </bottom>
      </border>
    </dxf>
    <dxf>
      <numFmt numFmtId="0" formatCode="General"/>
      <border diagonalUp="0" diagonalDown="0" outline="0">
        <left style="thin">
          <color indexed="22"/>
        </left>
        <right style="thin">
          <color indexed="22"/>
        </right>
        <top style="thin">
          <color indexed="22"/>
        </top>
        <bottom style="thin">
          <color indexed="22"/>
        </bottom>
      </border>
    </dxf>
    <dxf>
      <numFmt numFmtId="13" formatCode="0%"/>
      <border diagonalUp="0" diagonalDown="0" outline="0">
        <left style="thin">
          <color indexed="22"/>
        </left>
        <right style="thin">
          <color indexed="22"/>
        </right>
        <top/>
        <bottom style="thin">
          <color indexed="22"/>
        </bottom>
      </border>
    </dxf>
    <dxf>
      <numFmt numFmtId="0" formatCode="General"/>
      <alignment horizontal="center" vertical="center" textRotation="0" wrapText="0" indent="0" justifyLastLine="0" shrinkToFit="0" readingOrder="0"/>
      <border diagonalUp="0" diagonalDown="0" outline="0">
        <left/>
        <right style="thin">
          <color indexed="22"/>
        </right>
        <top style="thin">
          <color indexed="22"/>
        </top>
        <bottom style="thin">
          <color indexed="22"/>
        </bottom>
      </border>
    </dxf>
    <dxf>
      <border diagonalUp="0" diagonalDown="0">
        <left style="thin">
          <color theme="4"/>
        </left>
        <right style="thin">
          <color theme="4"/>
        </right>
        <top/>
        <bottom style="thin">
          <color theme="4"/>
        </bottom>
      </border>
    </dxf>
    <dxf>
      <font>
        <b val="0"/>
        <i val="0"/>
        <strike val="0"/>
        <condense val="0"/>
        <extend val="0"/>
        <outline val="0"/>
        <shadow val="0"/>
        <u val="none"/>
        <vertAlign val="baseline"/>
        <sz val="10"/>
        <color auto="1"/>
        <name val="Arial"/>
        <scheme val="minor"/>
      </font>
      <alignment horizontal="general" vertical="center" textRotation="0" wrapText="0" relativeIndent="0" justifyLastLine="0" shrinkToFit="0" readingOrder="0"/>
    </dxf>
    <dxf>
      <font>
        <b/>
        <i val="0"/>
        <strike val="0"/>
        <condense val="0"/>
        <extend val="0"/>
        <outline val="0"/>
        <shadow val="0"/>
        <u val="none"/>
        <vertAlign val="baseline"/>
        <sz val="11"/>
        <color auto="1"/>
        <name val="Arial"/>
        <scheme val="major"/>
      </font>
      <alignment horizontal="general" vertical="bottom" textRotation="90" wrapText="1" relative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D7EBF5"/>
      <rgbColor rgb="00CCFFFF"/>
      <rgbColor rgb="00660066"/>
      <rgbColor rgb="00FF8080"/>
      <rgbColor rgb="000066CC"/>
      <rgbColor rgb="00CCCCFF"/>
      <rgbColor rgb="00000080"/>
      <rgbColor rgb="00FF00FF"/>
      <rgbColor rgb="00FFFFCC"/>
      <rgbColor rgb="0000FFFF"/>
      <rgbColor rgb="00800080"/>
      <rgbColor rgb="00800000"/>
      <rgbColor rgb="00008080"/>
      <rgbColor rgb="003366CC"/>
      <rgbColor rgb="0000CCFF"/>
      <rgbColor rgb="00CCFFFF"/>
      <rgbColor rgb="00CCFFCC"/>
      <rgbColor rgb="00FFFF99"/>
      <rgbColor rgb="0099CCFF"/>
      <rgbColor rgb="00FF99CC"/>
      <rgbColor rgb="00CC99FF"/>
      <rgbColor rgb="00CEDE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ata" displayName="Data" ref="C11:J16" totalsRowShown="0" headerRowDxfId="42" dataDxfId="41" tableBorderDxfId="40">
  <autoFilter ref="C11:J16" xr:uid="{00000000-0009-0000-0100-000003000000}"/>
  <tableColumns count="8">
    <tableColumn id="1" xr3:uid="{00000000-0010-0000-0000-000001000000}" name="Proposed Rate Increase " dataDxfId="39" dataCellStyle="Normal"/>
    <tableColumn id="10" xr3:uid="{8EDC7FD2-406E-4B63-A457-356E7B9B6684}" name="Current Rate of Pay" dataDxfId="38"/>
    <tableColumn id="2" xr3:uid="{00000000-0010-0000-0000-000002000000}" name="7/1/2020" dataDxfId="37" dataCellStyle="Comma [0]"/>
    <tableColumn id="3" xr3:uid="{00000000-0010-0000-0000-000003000000}" name="7/1/2021" dataDxfId="36" dataCellStyle="Comma [0]"/>
    <tableColumn id="4" xr3:uid="{00000000-0010-0000-0000-000004000000}" name="7/1/2022" dataDxfId="35" dataCellStyle="Comma [0]"/>
    <tableColumn id="5" xr3:uid="{00000000-0010-0000-0000-000005000000}" name="7/1/2023" dataDxfId="34" dataCellStyle="Comma [0]"/>
    <tableColumn id="6" xr3:uid="{00000000-0010-0000-0000-000006000000}" name="7/1/2024" dataDxfId="33" dataCellStyle="Comma [0]"/>
    <tableColumn id="9" xr3:uid="{7FEB5412-4798-438F-9990-32915B1A8D99}" name="Pay Rate Increase" dataDxfId="32" dataCellStyle="Comma [0]">
      <calculatedColumnFormula>Data[[#This Row],[Current Rate of Pay]]+Data[[#This Row],[7/1/2021]]</calculatedColumnFormula>
    </tableColumn>
  </tableColumns>
  <tableStyleInfo name="TableStyleLight2" showFirstColumn="0" showLastColumn="0" showRowStripes="1" showColumnStripes="0"/>
  <extLst>
    <ext xmlns:x14="http://schemas.microsoft.com/office/spreadsheetml/2009/9/main" uri="{504A1905-F514-4f6f-8877-14C23A59335A}">
      <x14:table altTextSummary="Enter Date and Number of Imperfections for Samples in this table. Mean and Sample Mean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82EBF3-39E4-4D1A-9618-018B5820F8AC}" name="Data3" displayName="Data3" ref="L11:S18" totalsRowShown="0" headerRowDxfId="31" dataDxfId="30" tableBorderDxfId="29">
  <autoFilter ref="L11:S18" xr:uid="{C282EBF3-39E4-4D1A-9618-018B5820F8AC}"/>
  <tableColumns count="8">
    <tableColumn id="1" xr3:uid="{94B2400C-9B3B-4604-BFBF-66202958997E}" name="Proposed Rate Increase " dataDxfId="28" dataCellStyle="Normal"/>
    <tableColumn id="10" xr3:uid="{F9172E68-BBAF-4156-8F54-C5BA26A33DFE}" name="Current Premium" dataDxfId="27"/>
    <tableColumn id="2" xr3:uid="{5D7001CA-783C-49B8-8287-2C7A726E25EF}" name="Estimated Premium" dataDxfId="26" dataCellStyle="Comma [0]"/>
    <tableColumn id="3" xr3:uid="{4B03A9EB-3CB3-4B8E-A4A9-DE248F54F80A}" name="Percentage of Change" dataDxfId="25" dataCellStyle="Comma [0]">
      <calculatedColumnFormula>(Data3[[#This Row],[Estimated Premium]]-Data3[[#This Row],[Current Premium]])/Data3[[#This Row],[Current Premium]]</calculatedColumnFormula>
    </tableColumn>
    <tableColumn id="4" xr3:uid="{5A050BBE-3F84-4882-AFF4-B72A25A28C46}" name="Plan Increase" dataDxfId="24" dataCellStyle="Comma [0]">
      <calculatedColumnFormula>Data3[[#This Row],[Estimated Premium]]-Data3[[#This Row],[Current Premium]]</calculatedColumnFormula>
    </tableColumn>
    <tableColumn id="5" xr3:uid="{FBDC67EC-5718-4B09-8B98-EAC9810B0FEA}" name="Annual Carrier Cost 85%" dataDxfId="23" dataCellStyle="Comma [0]">
      <calculatedColumnFormula>Data3[[#This Row],[Annual Union Cost  15%]]/0.15</calculatedColumnFormula>
    </tableColumn>
    <tableColumn id="6" xr3:uid="{9A561C65-5BAA-4809-BED1-5874FBD65357}" name="Annual Union Cost  15%" dataDxfId="22" dataCellStyle="Comma [0]">
      <calculatedColumnFormula>Data3[[#This Row],[Estimated Premium]]*12</calculatedColumnFormula>
    </tableColumn>
    <tableColumn id="9" xr3:uid="{A0F61505-0F18-4C91-A1BB-153FFF9A5FF5}" name="Total Annual  Plan Cost " dataDxfId="21" dataCellStyle="Comma [0]">
      <calculatedColumnFormula>Data3[[#This Row],[Annual Carrier Cost 85%]]+Data3[[#This Row],[Annual Union Cost  15%]]</calculatedColumnFormula>
    </tableColumn>
  </tableColumns>
  <tableStyleInfo name="TableStyleLight2" showFirstColumn="0" showLastColumn="0" showRowStripes="1" showColumnStripes="0"/>
  <extLst>
    <ext xmlns:x14="http://schemas.microsoft.com/office/spreadsheetml/2009/9/main" uri="{504A1905-F514-4f6f-8877-14C23A59335A}">
      <x14:table altTextSummary="Enter Date and Number of Imperfections for Samples in this table. Mean and Sample Mean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BF23CA-8ABC-4450-8F8F-2A126D0C6482}" name="Table1" displayName="Table1" ref="A5:G6" totalsRowShown="0">
  <autoFilter ref="A5:G6" xr:uid="{01BF23CA-8ABC-4450-8F8F-2A126D0C6482}"/>
  <tableColumns count="7">
    <tableColumn id="8" xr3:uid="{107E6CFB-4F67-4037-9AE5-D81B0922CD80}" name="Year" dataDxfId="20"/>
    <tableColumn id="1" xr3:uid="{C4684BE5-9300-426B-849A-35C4FA06B292}" name="Total Cost" dataDxfId="19">
      <calculatedColumnFormula>(287.46*100)/15%</calculatedColumnFormula>
    </tableColumn>
    <tableColumn id="2" xr3:uid="{93F50759-5857-47E6-BBC6-AD14E5A06582}" name="Annual Carrier Cost" dataDxfId="18">
      <calculatedColumnFormula>B6*85%</calculatedColumnFormula>
    </tableColumn>
    <tableColumn id="3" xr3:uid="{788A34CF-390E-41D6-9629-AEABF3D3A8DA}" name="Anuual Union Cost" dataDxfId="17">
      <calculatedColumnFormula>B6*15%</calculatedColumnFormula>
    </tableColumn>
    <tableColumn id="4" xr3:uid="{37C70CD7-C35E-4739-BBC0-6014D3756EEC}" name="Monthly Carrier Cost" dataDxfId="16">
      <calculatedColumnFormula>C6/12</calculatedColumnFormula>
    </tableColumn>
    <tableColumn id="5" xr3:uid="{3E084463-4B3A-4788-8F14-DFCB957F814E}" name="Monthly Union Cost" dataDxfId="15">
      <calculatedColumnFormula>D6/12</calculatedColumnFormula>
    </tableColumn>
    <tableColumn id="6" xr3:uid="{35BEE96C-FDE8-424E-9B56-98E3C57608F1}" name="Employee Monthly Cost" dataDxfId="14">
      <calculatedColumnFormula>F6*15%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CB991D-1781-49BB-82FA-470BB877E723}" name="Table4" displayName="Table4" ref="A12:G13" totalsRowShown="0">
  <autoFilter ref="A12:G13" xr:uid="{4DCB991D-1781-49BB-82FA-470BB877E723}"/>
  <tableColumns count="7">
    <tableColumn id="7" xr3:uid="{6842E1B8-DAB8-4AEE-9F17-A4BDD981099A}" name="Year" dataDxfId="13"/>
    <tableColumn id="1" xr3:uid="{48CFC508-D09F-4513-A778-DAFEAF92CEE5}" name="Total Cost" dataDxfId="12">
      <calculatedColumnFormula>(287.46*100)/85%</calculatedColumnFormula>
    </tableColumn>
    <tableColumn id="2" xr3:uid="{41D515ED-11E1-44E6-AAE6-6D80946C3F1E}" name="Annual Carrier Cost" dataDxfId="11">
      <calculatedColumnFormula>B13*85%</calculatedColumnFormula>
    </tableColumn>
    <tableColumn id="3" xr3:uid="{33C89D75-681E-4C10-BAD5-29CB71840140}" name="Anuual Union Cost" dataDxfId="10">
      <calculatedColumnFormula>B13*15%</calculatedColumnFormula>
    </tableColumn>
    <tableColumn id="4" xr3:uid="{EBA91D72-AEC2-4753-B43A-0D71A4B463CC}" name="Monthly Carrier Cost" dataDxfId="9">
      <calculatedColumnFormula>C13/12</calculatedColumnFormula>
    </tableColumn>
    <tableColumn id="5" xr3:uid="{8909934F-13D4-4D53-8BB1-E997FDFF51AC}" name="Monthly Union Cost" dataDxfId="8">
      <calculatedColumnFormula>D13/12</calculatedColumnFormula>
    </tableColumn>
    <tableColumn id="6" xr3:uid="{5753A3BD-A4CE-4C7A-B8B4-C4C0F38C47BB}" name="Employee Monthly Cost" dataDxfId="7">
      <calculatedColumnFormula>F13*15%</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A53366-F5F7-41DE-B0F5-52442BB8C066}" name="Table47" displayName="Table47" ref="A18:G19" totalsRowShown="0">
  <autoFilter ref="A18:G19" xr:uid="{19A53366-F5F7-41DE-B0F5-52442BB8C066}"/>
  <tableColumns count="7">
    <tableColumn id="7" xr3:uid="{81AB2AE6-B6C7-4838-950B-7B04CD592A7E}" name="Year" dataDxfId="6"/>
    <tableColumn id="1" xr3:uid="{124FA20A-9F5A-42F0-BE7E-AC12C3003280}" name="Total Cost" dataDxfId="2">
      <calculatedColumnFormula>Table47[[#This Row],[Annual Carrier Cost]]+Table47[[#This Row],[Anuual Union Cost]]</calculatedColumnFormula>
    </tableColumn>
    <tableColumn id="2" xr3:uid="{3DD29F5C-00C9-4B7B-91F5-17331FD45C54}" name="Annual Carrier Cost" dataDxfId="0">
      <calculatedColumnFormula>Table47[[#This Row],[Anuual Union Cost]]/0.15</calculatedColumnFormula>
    </tableColumn>
    <tableColumn id="3" xr3:uid="{2C3668A6-43D7-40B2-B27A-7C6DE2995B9C}" name="Anuual Union Cost" dataDxfId="1">
      <calculatedColumnFormula>Table47[[#This Row],[Monthly Union Cost]]*12</calculatedColumnFormula>
    </tableColumn>
    <tableColumn id="4" xr3:uid="{3AFA9230-4F2D-459D-B966-B93948FDEA54}" name="Monthly Carrier Cost" dataDxfId="5">
      <calculatedColumnFormula>Table47[[#This Row],[Monthly Union Cost]]/0.15</calculatedColumnFormula>
    </tableColumn>
    <tableColumn id="5" xr3:uid="{499117EF-C61C-48FE-AD4E-CAA8083D18F7}" name="Monthly Union Cost" dataDxfId="4"/>
    <tableColumn id="6" xr3:uid="{EA12FA34-C57D-4C24-870B-8A240416005D}" name="Employee Monthly Cost"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pageSetUpPr fitToPage="1"/>
  </sheetPr>
  <dimension ref="B1:S20"/>
  <sheetViews>
    <sheetView showGridLines="0" tabSelected="1" workbookViewId="0">
      <selection activeCell="I19" sqref="I19"/>
    </sheetView>
  </sheetViews>
  <sheetFormatPr defaultRowHeight="30" customHeight="1" x14ac:dyDescent="0.2"/>
  <cols>
    <col min="1" max="1" width="2.625" customWidth="1"/>
    <col min="2" max="2" width="12.75" customWidth="1"/>
    <col min="3" max="3" width="11.75" customWidth="1"/>
    <col min="4" max="4" width="10.375" customWidth="1"/>
    <col min="5" max="5" width="9.5" customWidth="1"/>
    <col min="6" max="8" width="8.625" customWidth="1"/>
    <col min="9" max="9" width="8.375" customWidth="1"/>
    <col min="10" max="10" width="12.375" customWidth="1"/>
    <col min="11" max="11" width="13.625" customWidth="1"/>
    <col min="12" max="12" width="12.875" customWidth="1"/>
    <col min="13" max="13" width="12.375" customWidth="1"/>
    <col min="14" max="14" width="13" customWidth="1"/>
    <col min="15" max="15" width="13.125" customWidth="1"/>
    <col min="16" max="16" width="13.5" customWidth="1"/>
    <col min="17" max="18" width="13.375" customWidth="1"/>
    <col min="19" max="19" width="11.875" customWidth="1"/>
  </cols>
  <sheetData>
    <row r="1" spans="2:19" ht="45" customHeight="1" x14ac:dyDescent="0.2">
      <c r="B1" s="34" t="s">
        <v>12</v>
      </c>
      <c r="C1" s="34"/>
      <c r="D1" s="34"/>
      <c r="E1" s="34"/>
      <c r="F1" s="34"/>
      <c r="G1" s="34"/>
      <c r="H1" s="34"/>
      <c r="I1" s="34"/>
      <c r="J1" s="34"/>
    </row>
    <row r="2" spans="2:19" ht="15" x14ac:dyDescent="0.25">
      <c r="B2" s="1" t="s">
        <v>13</v>
      </c>
      <c r="C2" s="47" t="s">
        <v>14</v>
      </c>
      <c r="D2" s="48"/>
      <c r="E2" s="49"/>
      <c r="F2" s="44" t="s">
        <v>38</v>
      </c>
      <c r="G2" s="45"/>
      <c r="H2" s="45"/>
      <c r="I2" s="45"/>
      <c r="J2" s="46"/>
    </row>
    <row r="3" spans="2:19" ht="15" x14ac:dyDescent="0.2">
      <c r="B3" s="1" t="s">
        <v>0</v>
      </c>
      <c r="C3" s="50">
        <v>44801</v>
      </c>
      <c r="D3" s="50"/>
      <c r="E3" s="51"/>
      <c r="F3" s="35" t="s">
        <v>20</v>
      </c>
      <c r="G3" s="36"/>
      <c r="H3" s="36"/>
      <c r="I3" s="36"/>
      <c r="J3" s="37"/>
    </row>
    <row r="4" spans="2:19" ht="15" x14ac:dyDescent="0.2">
      <c r="B4" s="1" t="s">
        <v>15</v>
      </c>
      <c r="C4" s="47" t="s">
        <v>16</v>
      </c>
      <c r="D4" s="48"/>
      <c r="E4" s="52"/>
      <c r="F4" s="38"/>
      <c r="G4" s="39"/>
      <c r="H4" s="39"/>
      <c r="I4" s="39"/>
      <c r="J4" s="40"/>
    </row>
    <row r="5" spans="2:19" ht="15" x14ac:dyDescent="0.2">
      <c r="B5" s="1" t="s">
        <v>1</v>
      </c>
      <c r="C5" s="47" t="s">
        <v>17</v>
      </c>
      <c r="D5" s="48"/>
      <c r="E5" s="52"/>
      <c r="F5" s="38"/>
      <c r="G5" s="39"/>
      <c r="H5" s="39"/>
      <c r="I5" s="39"/>
      <c r="J5" s="40"/>
    </row>
    <row r="6" spans="2:19" ht="15" x14ac:dyDescent="0.2">
      <c r="B6" s="1" t="s">
        <v>18</v>
      </c>
      <c r="C6" s="47" t="s">
        <v>19</v>
      </c>
      <c r="D6" s="48"/>
      <c r="E6" s="52"/>
      <c r="F6" s="38"/>
      <c r="G6" s="39"/>
      <c r="H6" s="39"/>
      <c r="I6" s="39"/>
      <c r="J6" s="40"/>
    </row>
    <row r="7" spans="2:19" ht="15" x14ac:dyDescent="0.2">
      <c r="B7" s="1" t="s">
        <v>3</v>
      </c>
      <c r="C7" s="53">
        <v>44013</v>
      </c>
      <c r="D7" s="53"/>
      <c r="E7" s="54"/>
      <c r="F7" s="38"/>
      <c r="G7" s="39"/>
      <c r="H7" s="39"/>
      <c r="I7" s="39"/>
      <c r="J7" s="40"/>
    </row>
    <row r="8" spans="2:19" ht="15" x14ac:dyDescent="0.2">
      <c r="B8" s="1" t="s">
        <v>2</v>
      </c>
      <c r="C8" s="53">
        <v>45474</v>
      </c>
      <c r="D8" s="53"/>
      <c r="E8" s="54"/>
      <c r="F8" s="41"/>
      <c r="G8" s="42"/>
      <c r="H8" s="42"/>
      <c r="I8" s="42"/>
      <c r="J8" s="43"/>
    </row>
    <row r="9" spans="2:19" ht="14.25" x14ac:dyDescent="0.2"/>
    <row r="10" spans="2:19" ht="18" customHeight="1" x14ac:dyDescent="0.2">
      <c r="D10" s="31" t="s">
        <v>10</v>
      </c>
      <c r="E10" s="32"/>
      <c r="F10" s="32"/>
      <c r="G10" s="32"/>
      <c r="H10" s="32"/>
      <c r="I10" s="33"/>
      <c r="M10" s="31" t="s">
        <v>25</v>
      </c>
      <c r="N10" s="32"/>
      <c r="O10" s="32"/>
      <c r="P10" s="32"/>
      <c r="Q10" s="32"/>
      <c r="R10" s="33"/>
    </row>
    <row r="11" spans="2:19" ht="59.25" customHeight="1" x14ac:dyDescent="0.25">
      <c r="C11" s="7" t="s">
        <v>11</v>
      </c>
      <c r="D11" s="4" t="s">
        <v>9</v>
      </c>
      <c r="E11" s="25" t="s">
        <v>4</v>
      </c>
      <c r="F11" s="21" t="s">
        <v>5</v>
      </c>
      <c r="G11" s="23" t="s">
        <v>6</v>
      </c>
      <c r="H11" s="23" t="s">
        <v>7</v>
      </c>
      <c r="I11" s="26" t="s">
        <v>8</v>
      </c>
      <c r="J11" s="5" t="s">
        <v>10</v>
      </c>
      <c r="L11" s="7" t="s">
        <v>11</v>
      </c>
      <c r="M11" s="22" t="s">
        <v>23</v>
      </c>
      <c r="N11" s="17" t="s">
        <v>24</v>
      </c>
      <c r="O11" s="22" t="s">
        <v>21</v>
      </c>
      <c r="P11" s="23" t="s">
        <v>22</v>
      </c>
      <c r="Q11" s="18" t="s">
        <v>37</v>
      </c>
      <c r="R11" s="17" t="s">
        <v>36</v>
      </c>
      <c r="S11" s="28" t="s">
        <v>35</v>
      </c>
    </row>
    <row r="12" spans="2:19" ht="30" customHeight="1" x14ac:dyDescent="0.2">
      <c r="C12" s="9">
        <v>0.03</v>
      </c>
      <c r="D12" s="6">
        <v>33.14</v>
      </c>
      <c r="E12" s="2">
        <v>0.99419999999999997</v>
      </c>
      <c r="F12" s="2"/>
      <c r="G12" s="2"/>
      <c r="H12" s="2"/>
      <c r="I12" s="2"/>
      <c r="J12" s="3">
        <f>Data[[#This Row],[Current Rate of Pay]]+Data[[#This Row],[7/1/2020]]</f>
        <v>34.1342</v>
      </c>
      <c r="L12" s="13">
        <v>42552</v>
      </c>
      <c r="M12" s="14">
        <v>228.89</v>
      </c>
      <c r="N12" s="6">
        <v>228.89</v>
      </c>
      <c r="O12" s="24">
        <f>(Data3[[#This Row],[Estimated Premium]]-Data3[[#This Row],[Current Premium]])/Data3[[#This Row],[Current Premium]]</f>
        <v>0</v>
      </c>
      <c r="P12" s="3">
        <f>Data3[[#This Row],[Estimated Premium]]-Data3[[#This Row],[Current Premium]]</f>
        <v>0</v>
      </c>
      <c r="Q12" s="3">
        <f>Data3[[#This Row],[Annual Union Cost  15%]]/0.15</f>
        <v>18311.2</v>
      </c>
      <c r="R12" s="3">
        <f>Data3[[#This Row],[Estimated Premium]]*12</f>
        <v>2746.68</v>
      </c>
      <c r="S12" s="3">
        <f>Data3[[#This Row],[Annual Carrier Cost 85%]]+Data3[[#This Row],[Annual Union Cost  15%]]</f>
        <v>21057.88</v>
      </c>
    </row>
    <row r="13" spans="2:19" ht="30" customHeight="1" x14ac:dyDescent="0.2">
      <c r="C13" s="10">
        <v>3.5000000000000003E-2</v>
      </c>
      <c r="D13" s="6">
        <v>34.130000000000003</v>
      </c>
      <c r="E13" s="2"/>
      <c r="F13" s="2">
        <v>1.1944999999999999</v>
      </c>
      <c r="G13" s="2"/>
      <c r="H13" s="2"/>
      <c r="I13" s="2"/>
      <c r="J13" s="3">
        <f>Data[[#This Row],[Current Rate of Pay]]+Data[[#This Row],[7/1/2021]]</f>
        <v>35.3245</v>
      </c>
      <c r="L13" s="13">
        <v>42917</v>
      </c>
      <c r="M13" s="14">
        <v>228.89</v>
      </c>
      <c r="N13" s="6">
        <v>261.37</v>
      </c>
      <c r="O13" s="24">
        <f>(Data3[[#This Row],[Estimated Premium]]-Data3[[#This Row],[Current Premium]])/Data3[[#This Row],[Current Premium]]</f>
        <v>0.14190222377561282</v>
      </c>
      <c r="P13" s="3">
        <f>Data3[[#This Row],[Estimated Premium]]-Data3[[#This Row],[Current Premium]]</f>
        <v>32.480000000000018</v>
      </c>
      <c r="Q13" s="3">
        <f>Data3[[#This Row],[Annual Union Cost  15%]]/0.15</f>
        <v>20909.600000000002</v>
      </c>
      <c r="R13" s="3">
        <f>Data3[[#This Row],[Estimated Premium]]*12</f>
        <v>3136.44</v>
      </c>
      <c r="S13" s="3">
        <f>Data3[[#This Row],[Annual Carrier Cost 85%]]+Data3[[#This Row],[Annual Union Cost  15%]]</f>
        <v>24046.04</v>
      </c>
    </row>
    <row r="14" spans="2:19" ht="30" customHeight="1" x14ac:dyDescent="0.2">
      <c r="C14" s="11">
        <v>7.0000000000000007E-2</v>
      </c>
      <c r="D14" s="6">
        <v>35.32</v>
      </c>
      <c r="E14" s="2"/>
      <c r="F14" s="2"/>
      <c r="G14" s="2">
        <v>2.4727000000000001</v>
      </c>
      <c r="H14" s="2"/>
      <c r="I14" s="2"/>
      <c r="J14" s="3">
        <f>Data[[#This Row],[Current Rate of Pay]]+Data[[#This Row],[7/1/2022]]</f>
        <v>37.792700000000004</v>
      </c>
      <c r="L14" s="13">
        <v>43282</v>
      </c>
      <c r="M14" s="14">
        <v>228.89</v>
      </c>
      <c r="N14" s="6">
        <v>245.07</v>
      </c>
      <c r="O14" s="24">
        <f>(Data3[[#This Row],[Estimated Premium]]-Data3[[#This Row],[Current Premium]])/Data3[[#This Row],[Current Premium]]</f>
        <v>7.0688977237974612E-2</v>
      </c>
      <c r="P14" s="3">
        <f>Data3[[#This Row],[Estimated Premium]]-Data3[[#This Row],[Current Premium]]</f>
        <v>16.180000000000007</v>
      </c>
      <c r="Q14" s="3">
        <f>Data3[[#This Row],[Annual Union Cost  15%]]/0.15</f>
        <v>19605.600000000002</v>
      </c>
      <c r="R14" s="3">
        <f>Data3[[#This Row],[Estimated Premium]]*12</f>
        <v>2940.84</v>
      </c>
      <c r="S14" s="3">
        <f>Data3[[#This Row],[Annual Carrier Cost 85%]]+Data3[[#This Row],[Annual Union Cost  15%]]</f>
        <v>22546.440000000002</v>
      </c>
    </row>
    <row r="15" spans="2:19" ht="30" customHeight="1" x14ac:dyDescent="0.2">
      <c r="C15" s="11">
        <v>0.04</v>
      </c>
      <c r="D15" s="6">
        <v>37.79</v>
      </c>
      <c r="E15" s="2"/>
      <c r="F15" s="2"/>
      <c r="G15" s="2"/>
      <c r="H15" s="2">
        <v>1.5117</v>
      </c>
      <c r="I15" s="2"/>
      <c r="J15" s="3">
        <f>Data[[#This Row],[Current Rate of Pay]]+Data[[#This Row],[7/1/2023]]</f>
        <v>39.301699999999997</v>
      </c>
      <c r="L15" s="13">
        <v>43647</v>
      </c>
      <c r="M15" s="14">
        <v>228.89</v>
      </c>
      <c r="N15" s="6">
        <v>248.59</v>
      </c>
      <c r="O15" s="24">
        <f>(Data3[[#This Row],[Estimated Premium]]-Data3[[#This Row],[Current Premium]])/Data3[[#This Row],[Current Premium]]</f>
        <v>8.6067543361440069E-2</v>
      </c>
      <c r="P15" s="3">
        <f>Data3[[#This Row],[Estimated Premium]]-Data3[[#This Row],[Current Premium]]</f>
        <v>19.700000000000017</v>
      </c>
      <c r="Q15" s="3">
        <f>Data3[[#This Row],[Annual Union Cost  15%]]/0.15</f>
        <v>19887.2</v>
      </c>
      <c r="R15" s="3">
        <f>Data3[[#This Row],[Estimated Premium]]*12</f>
        <v>2983.08</v>
      </c>
      <c r="S15" s="3">
        <f>Data3[[#This Row],[Annual Carrier Cost 85%]]+Data3[[#This Row],[Annual Union Cost  15%]]</f>
        <v>22870.28</v>
      </c>
    </row>
    <row r="16" spans="2:19" ht="30" customHeight="1" x14ac:dyDescent="0.2">
      <c r="C16" s="10">
        <v>4.4999999999999998E-2</v>
      </c>
      <c r="D16" s="6">
        <v>39.299999999999997</v>
      </c>
      <c r="E16" s="2"/>
      <c r="F16" s="2"/>
      <c r="G16" s="2"/>
      <c r="H16" s="2"/>
      <c r="I16" s="2">
        <v>1.7685</v>
      </c>
      <c r="J16" s="8">
        <f>Data[[#This Row],[Current Rate of Pay]]+Data[[#This Row],[7/1/2024]]</f>
        <v>41.0685</v>
      </c>
      <c r="L16" s="13">
        <v>44013</v>
      </c>
      <c r="M16" s="14">
        <v>228.89</v>
      </c>
      <c r="N16" s="6">
        <v>248.59</v>
      </c>
      <c r="O16" s="24">
        <f>(Data3[[#This Row],[Estimated Premium]]-Data3[[#This Row],[Current Premium]])/Data3[[#This Row],[Current Premium]]</f>
        <v>8.6067543361440069E-2</v>
      </c>
      <c r="P16" s="3">
        <f>Data3[[#This Row],[Estimated Premium]]-Data3[[#This Row],[Current Premium]]</f>
        <v>19.700000000000017</v>
      </c>
      <c r="Q16" s="3">
        <f>Data3[[#This Row],[Annual Union Cost  15%]]/0.15</f>
        <v>19887.2</v>
      </c>
      <c r="R16" s="3">
        <f>Data3[[#This Row],[Estimated Premium]]*12</f>
        <v>2983.08</v>
      </c>
      <c r="S16" s="16">
        <f>Data3[[#This Row],[Annual Carrier Cost 85%]]+Data3[[#This Row],[Annual Union Cost  15%]]</f>
        <v>22870.28</v>
      </c>
    </row>
    <row r="17" spans="7:19" ht="30" customHeight="1" x14ac:dyDescent="0.2">
      <c r="L17" s="13">
        <v>44378</v>
      </c>
      <c r="M17" s="14">
        <v>228.89</v>
      </c>
      <c r="N17" s="14">
        <v>262.10000000000002</v>
      </c>
      <c r="O17" s="24">
        <f>(Data3[[#This Row],[Estimated Premium]]-Data3[[#This Row],[Current Premium]])/Data3[[#This Row],[Current Premium]]</f>
        <v>0.14509152868189976</v>
      </c>
      <c r="P17" s="19">
        <f>Data3[[#This Row],[Estimated Premium]]-Data3[[#This Row],[Current Premium]]</f>
        <v>33.210000000000036</v>
      </c>
      <c r="Q17" s="3">
        <f>Data3[[#This Row],[Annual Union Cost  15%]]/0.15</f>
        <v>20968.000000000004</v>
      </c>
      <c r="R17" s="3">
        <f>Data3[[#This Row],[Estimated Premium]]*12</f>
        <v>3145.2000000000003</v>
      </c>
      <c r="S17" s="12">
        <f>Data3[[#This Row],[Annual Carrier Cost 85%]]+Data3[[#This Row],[Annual Union Cost  15%]]</f>
        <v>24113.200000000004</v>
      </c>
    </row>
    <row r="18" spans="7:19" ht="23.25" customHeight="1" x14ac:dyDescent="0.2">
      <c r="H18" s="27"/>
      <c r="L18" s="13">
        <v>44743</v>
      </c>
      <c r="M18" s="14">
        <v>228.89</v>
      </c>
      <c r="N18" s="15">
        <v>287.45999999999998</v>
      </c>
      <c r="O18" s="24">
        <f>(Data3[[#This Row],[Estimated Premium]]-Data3[[#This Row],[Current Premium]])/Data3[[#This Row],[Current Premium]]</f>
        <v>0.25588710734413911</v>
      </c>
      <c r="P18" s="20">
        <f>Data3[[#This Row],[Estimated Premium]]-Data3[[#This Row],[Current Premium]]</f>
        <v>58.569999999999993</v>
      </c>
      <c r="Q18" s="3">
        <f>Data3[[#This Row],[Annual Union Cost  15%]]/0.15</f>
        <v>22996.799999999999</v>
      </c>
      <c r="R18" s="3">
        <f>Data3[[#This Row],[Estimated Premium]]*12</f>
        <v>3449.5199999999995</v>
      </c>
      <c r="S18" s="12">
        <f>Data3[[#This Row],[Annual Carrier Cost 85%]]+Data3[[#This Row],[Annual Union Cost  15%]]</f>
        <v>26446.32</v>
      </c>
    </row>
    <row r="19" spans="7:19" ht="58.5" customHeight="1" x14ac:dyDescent="0.2"/>
    <row r="20" spans="7:19" ht="30" customHeight="1" x14ac:dyDescent="0.2">
      <c r="G20" s="27"/>
    </row>
  </sheetData>
  <mergeCells count="12">
    <mergeCell ref="M10:R10"/>
    <mergeCell ref="B1:J1"/>
    <mergeCell ref="F3:J8"/>
    <mergeCell ref="F2:J2"/>
    <mergeCell ref="C2:E2"/>
    <mergeCell ref="C3:E3"/>
    <mergeCell ref="C4:E4"/>
    <mergeCell ref="C5:E5"/>
    <mergeCell ref="C6:E6"/>
    <mergeCell ref="C7:E7"/>
    <mergeCell ref="C8:E8"/>
    <mergeCell ref="D10:I10"/>
  </mergeCells>
  <phoneticPr fontId="0" type="noConversion"/>
  <dataValidations count="25">
    <dataValidation allowBlank="1" showInputMessage="1" showErrorMessage="1" prompt="Create a Run Chart in this workbook. Enter imperfection details in this worksheet. View Run chart for Daily Average Imperfections in Run Chart with Sample Mean worksheet" sqref="A1" xr:uid="{00000000-0002-0000-0000-000000000000}"/>
    <dataValidation allowBlank="1" showInputMessage="1" showErrorMessage="1" prompt="Title of this worksheet is in this cell. Enter Plant Name, Report Date, Quality Control Technician name, Department, Equipment ID, and Start and End Dates in cells C2 through C8" sqref="B1:J1" xr:uid="{00000000-0002-0000-0000-000001000000}"/>
    <dataValidation allowBlank="1" showInputMessage="1" showErrorMessage="1" prompt="Enter Plant Name in cell at right" sqref="B2" xr:uid="{00000000-0002-0000-0000-000002000000}"/>
    <dataValidation allowBlank="1" showInputMessage="1" showErrorMessage="1" prompt="Enter Plant Name in this cell" sqref="C2:E2" xr:uid="{00000000-0002-0000-0000-000003000000}"/>
    <dataValidation allowBlank="1" showInputMessage="1" showErrorMessage="1" prompt="Enter Report Date in cell at right" sqref="B3" xr:uid="{00000000-0002-0000-0000-000004000000}"/>
    <dataValidation allowBlank="1" showInputMessage="1" showErrorMessage="1" prompt="Enter Report Date in this cell" sqref="C3:E3" xr:uid="{00000000-0002-0000-0000-000005000000}"/>
    <dataValidation allowBlank="1" showInputMessage="1" showErrorMessage="1" prompt="Enter Quality Control Technician name in cell at right" sqref="B4" xr:uid="{00000000-0002-0000-0000-000006000000}"/>
    <dataValidation allowBlank="1" showInputMessage="1" showErrorMessage="1" prompt="Enter Quality Control Technician name in this cell" sqref="C4:E4" xr:uid="{00000000-0002-0000-0000-000007000000}"/>
    <dataValidation allowBlank="1" showInputMessage="1" showErrorMessage="1" prompt="Enter Department name in cell at right" sqref="B5" xr:uid="{00000000-0002-0000-0000-000008000000}"/>
    <dataValidation allowBlank="1" showInputMessage="1" showErrorMessage="1" prompt="Enter Department name in this cell" sqref="C5:E5" xr:uid="{00000000-0002-0000-0000-000009000000}"/>
    <dataValidation allowBlank="1" showInputMessage="1" showErrorMessage="1" prompt="Enter Equipment ID in cell at right" sqref="B6" xr:uid="{00000000-0002-0000-0000-00000A000000}"/>
    <dataValidation allowBlank="1" showInputMessage="1" showErrorMessage="1" prompt="Enter Equipment ID in this cell" sqref="C6:E6" xr:uid="{00000000-0002-0000-0000-00000B000000}"/>
    <dataValidation allowBlank="1" showInputMessage="1" showErrorMessage="1" prompt="Enter Start Date in cell at right" sqref="B7" xr:uid="{00000000-0002-0000-0000-00000C000000}"/>
    <dataValidation allowBlank="1" showInputMessage="1" showErrorMessage="1" prompt="Enter Start Date in this cell" sqref="C7:E7" xr:uid="{00000000-0002-0000-0000-00000D000000}"/>
    <dataValidation allowBlank="1" showInputMessage="1" showErrorMessage="1" prompt="Enter End Date in cell at right" sqref="B8" xr:uid="{00000000-0002-0000-0000-00000E000000}"/>
    <dataValidation allowBlank="1" showInputMessage="1" showErrorMessage="1" prompt="Enter End Date in this cell and Notes in cell at right" sqref="C8:E8" xr:uid="{00000000-0002-0000-0000-00000F000000}"/>
    <dataValidation allowBlank="1" showInputMessage="1" showErrorMessage="1" prompt="Enter Notes in cell below" sqref="F2:J2" xr:uid="{00000000-0002-0000-0000-000010000000}"/>
    <dataValidation allowBlank="1" showInputMessage="1" showErrorMessage="1" prompt="Enter Notes in this cell and manufacturing imperfections in table starting in cell C11" sqref="F3:J8" xr:uid="{00000000-0002-0000-0000-000011000000}"/>
    <dataValidation allowBlank="1" showInputMessage="1" showErrorMessage="1" prompt="Enter Number of Imperfections in columns D through H, below" sqref="D10 M10" xr:uid="{00000000-0002-0000-0000-000012000000}"/>
    <dataValidation allowBlank="1" showInputMessage="1" showErrorMessage="1" prompt="Enter Date in this column under this heading. Use heading filters to find specific entries" sqref="C11:D11 N11 L11 R11" xr:uid="{00000000-0002-0000-0000-000013000000}"/>
    <dataValidation allowBlank="1" showInputMessage="1" showErrorMessage="1" prompt="Enter number of imperfection for Sample 1 in this column under this heading" sqref="E11 Q11" xr:uid="{00000000-0002-0000-0000-000014000000}"/>
    <dataValidation allowBlank="1" showInputMessage="1" showErrorMessage="1" prompt="Enter number of imperfection for Sample 2 in this column under this heading" sqref="F11 P11" xr:uid="{00000000-0002-0000-0000-000015000000}"/>
    <dataValidation allowBlank="1" showInputMessage="1" showErrorMessage="1" prompt="Enter number of imperfection for Sample 3 in this column under this heading" sqref="G11" xr:uid="{00000000-0002-0000-0000-000016000000}"/>
    <dataValidation allowBlank="1" showInputMessage="1" showErrorMessage="1" prompt="Enter number of imperfection for Sample 4 in this column under this heading" sqref="H11" xr:uid="{00000000-0002-0000-0000-000017000000}"/>
    <dataValidation allowBlank="1" showInputMessage="1" showErrorMessage="1" prompt="Enter number of imperfection for Sample 5 in this column under this heading" sqref="I11:J11 S11" xr:uid="{00000000-0002-0000-0000-000018000000}"/>
  </dataValidations>
  <printOptions horizontalCentered="1"/>
  <pageMargins left="0.5" right="0.5" top="1" bottom="1" header="0.5" footer="0.5"/>
  <pageSetup scale="84" fitToHeight="0" orientation="portrait" r:id="rId1"/>
  <headerFooter differentFirst="1" alignWithMargins="0">
    <oddFooter>Page &amp;P of &amp;N</oddFooter>
  </headerFooter>
  <ignoredErrors>
    <ignoredError sqref="J12 J14:J16" calculatedColumn="1"/>
  </ignoredError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EAE5-A653-4C9D-92EC-C24AD81725CB}">
  <dimension ref="A1:G19"/>
  <sheetViews>
    <sheetView workbookViewId="0">
      <selection activeCell="B19" sqref="B19"/>
    </sheetView>
  </sheetViews>
  <sheetFormatPr defaultRowHeight="14.25" x14ac:dyDescent="0.2"/>
  <cols>
    <col min="1" max="1" width="14.375" customWidth="1"/>
    <col min="2" max="2" width="20.125" customWidth="1"/>
    <col min="3" max="3" width="19.125" customWidth="1"/>
    <col min="4" max="4" width="21.125" customWidth="1"/>
    <col min="5" max="5" width="20.125" customWidth="1"/>
    <col min="6" max="6" width="23.5" customWidth="1"/>
    <col min="7" max="7" width="24.25" customWidth="1"/>
  </cols>
  <sheetData>
    <row r="1" spans="1:7" x14ac:dyDescent="0.2">
      <c r="A1" s="27"/>
      <c r="B1" s="27"/>
      <c r="C1" s="27"/>
      <c r="D1" s="27"/>
    </row>
    <row r="2" spans="1:7" x14ac:dyDescent="0.2">
      <c r="A2" s="27" t="s">
        <v>26</v>
      </c>
      <c r="B2" s="27"/>
      <c r="C2" s="27"/>
      <c r="D2" s="27"/>
    </row>
    <row r="5" spans="1:7" x14ac:dyDescent="0.2">
      <c r="A5" t="s">
        <v>33</v>
      </c>
      <c r="B5" t="s">
        <v>27</v>
      </c>
      <c r="C5" t="s">
        <v>28</v>
      </c>
      <c r="D5" t="s">
        <v>29</v>
      </c>
      <c r="E5" t="s">
        <v>30</v>
      </c>
      <c r="F5" t="s">
        <v>31</v>
      </c>
      <c r="G5" t="s">
        <v>32</v>
      </c>
    </row>
    <row r="6" spans="1:7" x14ac:dyDescent="0.2">
      <c r="A6" s="29">
        <v>2022</v>
      </c>
      <c r="B6" s="27">
        <f>(287.46*100)/15%</f>
        <v>191639.99999999997</v>
      </c>
      <c r="C6" s="27">
        <f>B6*85%</f>
        <v>162893.99999999997</v>
      </c>
      <c r="D6" s="30">
        <f>B6*15%</f>
        <v>28745.999999999996</v>
      </c>
      <c r="E6" s="27">
        <f>C6/12</f>
        <v>13574.499999999998</v>
      </c>
      <c r="F6" s="27">
        <f>D6/12</f>
        <v>2395.4999999999995</v>
      </c>
      <c r="G6" s="27">
        <f>F6*15%</f>
        <v>359.32499999999993</v>
      </c>
    </row>
    <row r="9" spans="1:7" x14ac:dyDescent="0.2">
      <c r="A9" s="27"/>
      <c r="B9" s="27"/>
      <c r="C9" s="27"/>
    </row>
    <row r="10" spans="1:7" x14ac:dyDescent="0.2">
      <c r="A10" t="s">
        <v>34</v>
      </c>
      <c r="B10" s="27"/>
      <c r="C10" s="27"/>
      <c r="D10" s="27"/>
    </row>
    <row r="12" spans="1:7" x14ac:dyDescent="0.2">
      <c r="A12" t="s">
        <v>33</v>
      </c>
      <c r="B12" t="s">
        <v>27</v>
      </c>
      <c r="C12" t="s">
        <v>28</v>
      </c>
      <c r="D12" t="s">
        <v>29</v>
      </c>
      <c r="E12" t="s">
        <v>30</v>
      </c>
      <c r="F12" t="s">
        <v>31</v>
      </c>
      <c r="G12" t="s">
        <v>32</v>
      </c>
    </row>
    <row r="13" spans="1:7" x14ac:dyDescent="0.2">
      <c r="A13" s="29">
        <v>2022</v>
      </c>
      <c r="B13" s="27">
        <f>(287.46*100)/85%</f>
        <v>33818.823529411762</v>
      </c>
      <c r="C13" s="30">
        <f>B13*85%</f>
        <v>28745.999999999996</v>
      </c>
      <c r="D13" s="27">
        <f>B13*15%</f>
        <v>5072.823529411764</v>
      </c>
      <c r="E13" s="27">
        <f>C13/12</f>
        <v>2395.4999999999995</v>
      </c>
      <c r="F13" s="27">
        <f>D13/12</f>
        <v>422.73529411764702</v>
      </c>
      <c r="G13" s="27">
        <f>F13*15%</f>
        <v>63.410294117647048</v>
      </c>
    </row>
    <row r="18" spans="1:7" x14ac:dyDescent="0.2">
      <c r="A18" t="s">
        <v>33</v>
      </c>
      <c r="B18" t="s">
        <v>27</v>
      </c>
      <c r="C18" t="s">
        <v>28</v>
      </c>
      <c r="D18" t="s">
        <v>29</v>
      </c>
      <c r="E18" t="s">
        <v>30</v>
      </c>
      <c r="F18" t="s">
        <v>31</v>
      </c>
      <c r="G18" t="s">
        <v>32</v>
      </c>
    </row>
    <row r="19" spans="1:7" x14ac:dyDescent="0.2">
      <c r="A19" s="29">
        <v>2022</v>
      </c>
      <c r="B19" s="27">
        <f>Table47[[#This Row],[Annual Carrier Cost]]+Table47[[#This Row],[Anuual Union Cost]]</f>
        <v>26446.32</v>
      </c>
      <c r="C19" s="55">
        <f>Table47[[#This Row],[Anuual Union Cost]]/0.15</f>
        <v>22996.799999999999</v>
      </c>
      <c r="D19" s="27">
        <f>Table47[[#This Row],[Monthly Union Cost]]*12</f>
        <v>3449.5199999999995</v>
      </c>
      <c r="E19" s="27">
        <f>Table47[[#This Row],[Monthly Union Cost]]/0.15</f>
        <v>1916.3999999999999</v>
      </c>
      <c r="F19" s="27">
        <v>287.45999999999998</v>
      </c>
      <c r="G19" s="27">
        <v>287.45999999999998</v>
      </c>
    </row>
  </sheetData>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087168-5684-4E8D-ADD6-A8AC3FB077C9}">
  <ds:schemaRefs>
    <ds:schemaRef ds:uri="http://schemas.microsoft.com/sharepoint/v3/contenttype/forms"/>
  </ds:schemaRefs>
</ds:datastoreItem>
</file>

<file path=customXml/itemProps2.xml><?xml version="1.0" encoding="utf-8"?>
<ds:datastoreItem xmlns:ds="http://schemas.openxmlformats.org/officeDocument/2006/customXml" ds:itemID="{A4B5C3FC-7862-42FD-A3D0-73A39F0E98FC}">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3494107A-F689-4159-8285-4C458C158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TM16400683</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PEB 250 Inceases</vt:lpstr>
      <vt:lpstr>Sheet1</vt:lpstr>
      <vt:lpstr>ColumnTitleRegion1..F3.1</vt:lpstr>
      <vt:lpstr>'PEB 250 Inceases'!Print_Titles</vt:lpstr>
      <vt:lpstr>RowTitleRegion1..C8</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2019-05-30T06:14:21Z</dcterms:created>
  <dcterms:modified xsi:type="dcterms:W3CDTF">2022-08-31T14:49:26Z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